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20" windowWidth="24940" windowHeight="13880" tabRatio="377" activeTab="0"/>
  </bookViews>
  <sheets>
    <sheet name="weak acid titration" sheetId="1" r:id="rId1"/>
  </sheets>
  <definedNames>
    <definedName name="concHA">'weak acid titration'!$B$6</definedName>
    <definedName name="concOH">'weak acid titration'!$E$6</definedName>
    <definedName name="endpoint">'weak acid titration'!$I$6</definedName>
    <definedName name="Ka">'weak acid titration'!$G$6</definedName>
    <definedName name="Kb">'weak acid titration'!$F$6</definedName>
    <definedName name="Kw">'weak acid titration'!$H$6</definedName>
    <definedName name="mmolHA">'weak acid titration'!$D$6</definedName>
    <definedName name="volHA">'weak acid titration'!$C$6</definedName>
  </definedNames>
  <calcPr fullCalcOnLoad="1"/>
</workbook>
</file>

<file path=xl/sharedStrings.xml><?xml version="1.0" encoding="utf-8"?>
<sst xmlns="http://schemas.openxmlformats.org/spreadsheetml/2006/main" count="29" uniqueCount="26">
  <si>
    <t>Kw</t>
  </si>
  <si>
    <t>endpoint</t>
  </si>
  <si>
    <t>equil</t>
  </si>
  <si>
    <t>left</t>
  </si>
  <si>
    <t>total ml</t>
  </si>
  <si>
    <t>added</t>
  </si>
  <si>
    <t>pH</t>
  </si>
  <si>
    <t>made</t>
  </si>
  <si>
    <t>pre-equil</t>
  </si>
  <si>
    <t>combined</t>
  </si>
  <si>
    <t>% titrated</t>
  </si>
  <si>
    <t>this is for the pH=7 line for reference</t>
  </si>
  <si>
    <t>conc B</t>
  </si>
  <si>
    <t>vol B</t>
  </si>
  <si>
    <t>mmol B</t>
  </si>
  <si>
    <t>conc H+</t>
  </si>
  <si>
    <t>Kb</t>
  </si>
  <si>
    <t>Ka</t>
  </si>
  <si>
    <t>mmol BH+</t>
  </si>
  <si>
    <t>[H+]</t>
  </si>
  <si>
    <t>[OH-]</t>
  </si>
  <si>
    <t>[BH+]</t>
  </si>
  <si>
    <t>[B]</t>
  </si>
  <si>
    <t>mL H+</t>
  </si>
  <si>
    <t>pKb</t>
  </si>
  <si>
    <t>pKa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</si>
</sst>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General"/>
    <numFmt numFmtId="167" formatCode="0.00"/>
  </numFmts>
  <fonts count="2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Verdana"/>
      <family val="0"/>
    </font>
    <font>
      <b/>
      <sz val="12"/>
      <color indexed="12"/>
      <name val="Geneva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24"/>
      <color indexed="8"/>
      <name val="Calibri"/>
      <family val="0"/>
    </font>
    <font>
      <sz val="18"/>
      <color indexed="8"/>
      <name val="Calibri"/>
      <family val="0"/>
    </font>
    <font>
      <vertAlign val="superscript"/>
      <sz val="18"/>
      <color indexed="8"/>
      <name val="Calibri"/>
      <family val="0"/>
    </font>
    <font>
      <i/>
      <sz val="11"/>
      <color indexed="8"/>
      <name val="Calibri"/>
      <family val="0"/>
    </font>
    <font>
      <vertAlign val="subscript"/>
      <sz val="11"/>
      <color indexed="8"/>
      <name val="Calibri"/>
      <family val="0"/>
    </font>
    <font>
      <sz val="10"/>
      <color indexed="17"/>
      <name val="Geneva"/>
      <family val="0"/>
    </font>
    <font>
      <b/>
      <sz val="12"/>
      <color indexed="17"/>
      <name val="Geneva"/>
      <family val="0"/>
    </font>
    <font>
      <sz val="10"/>
      <color indexed="10"/>
      <name val="Geneva"/>
      <family val="0"/>
    </font>
    <font>
      <b/>
      <sz val="11"/>
      <color indexed="39"/>
      <name val="Calibri"/>
      <family val="0"/>
    </font>
    <font>
      <b/>
      <sz val="12"/>
      <color indexed="10"/>
      <name val="Geneva"/>
      <family val="0"/>
    </font>
    <font>
      <sz val="9.2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1" fontId="5" fillId="0" borderId="0" xfId="0" applyNumberFormat="1" applyFont="1" applyAlignment="1">
      <alignment horizontal="center"/>
    </xf>
    <xf numFmtId="10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1" fontId="15" fillId="0" borderId="0" xfId="0" applyNumberFormat="1" applyFont="1" applyAlignment="1">
      <alignment/>
    </xf>
    <xf numFmtId="2" fontId="16" fillId="0" borderId="0" xfId="0" applyNumberFormat="1" applyFont="1" applyAlignment="1">
      <alignment horizontal="right"/>
    </xf>
    <xf numFmtId="10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1" fontId="17" fillId="0" borderId="0" xfId="0" applyNumberFormat="1" applyFont="1" applyAlignment="1">
      <alignment/>
    </xf>
    <xf numFmtId="2" fontId="19" fillId="0" borderId="0" xfId="0" applyNumberFormat="1" applyFont="1" applyAlignment="1">
      <alignment horizontal="right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475"/>
          <c:w val="0.87875"/>
          <c:h val="0.8705"/>
        </c:manualLayout>
      </c:layout>
      <c:scatterChart>
        <c:scatterStyle val="lineMarker"/>
        <c:varyColors val="0"/>
        <c:ser>
          <c:idx val="1"/>
          <c:order val="1"/>
          <c:tx>
            <c:v>pH 7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'weak acid titration'!$M$11:$M$12</c:f>
              <c:numCache/>
            </c:numRef>
          </c:xVal>
          <c:yVal>
            <c:numRef>
              <c:f>'weak acid titration'!$N$11:$N$12</c:f>
              <c:numCache/>
            </c:numRef>
          </c:yVal>
          <c:smooth val="0"/>
        </c:ser>
        <c:axId val="52317535"/>
        <c:axId val="1095768"/>
      </c:scatterChart>
      <c:scatterChart>
        <c:scatterStyle val="smoothMarker"/>
        <c:varyColors val="0"/>
        <c:ser>
          <c:idx val="0"/>
          <c:order val="0"/>
          <c:tx>
            <c:v>pH curve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'weak acid titration'!$J$11:$J$24</c:f>
              <c:numCache/>
            </c:numRef>
          </c:xVal>
          <c:yVal>
            <c:numRef>
              <c:f>'weak acid titration'!$K$11:$K$24</c:f>
              <c:numCache/>
            </c:numRef>
          </c:yVal>
          <c:smooth val="1"/>
        </c:ser>
        <c:ser>
          <c:idx val="2"/>
          <c:order val="2"/>
          <c:tx>
            <c:v>eq pt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DD080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'weak acid titration'!$J$19</c:f>
              <c:numCache/>
            </c:numRef>
          </c:xVal>
          <c:yVal>
            <c:numRef>
              <c:f>'weak acid titration'!$K$19</c:f>
              <c:numCache/>
            </c:numRef>
          </c:yVal>
          <c:smooth val="1"/>
        </c:ser>
        <c:ser>
          <c:idx val="3"/>
          <c:order val="3"/>
          <c:tx>
            <c:v>halfway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6411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'weak acid titration'!$J$14</c:f>
              <c:numCache/>
            </c:numRef>
          </c:xVal>
          <c:yVal>
            <c:numRef>
              <c:f>'weak acid titration'!$K$14</c:f>
              <c:numCache/>
            </c:numRef>
          </c:yVal>
          <c:smooth val="1"/>
        </c:ser>
        <c:axId val="52317535"/>
        <c:axId val="1095768"/>
      </c:scatterChart>
      <c:catAx>
        <c:axId val="5231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95768"/>
        <c:crosses val="autoZero"/>
        <c:auto val="1"/>
        <c:lblOffset val="100"/>
        <c:noMultiLvlLbl val="0"/>
      </c:catAx>
      <c:valAx>
        <c:axId val="10957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317535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525"/>
          <c:y val="0.08225"/>
          <c:w val="0.178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0.4035</cdr:y>
    </cdr:from>
    <cdr:to>
      <cdr:x>0.0885</cdr:x>
      <cdr:y>0.489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352675"/>
          <a:ext cx="4095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pH</a:t>
          </a:r>
        </a:p>
      </cdr:txBody>
    </cdr:sp>
  </cdr:relSizeAnchor>
  <cdr:relSizeAnchor xmlns:cdr="http://schemas.openxmlformats.org/drawingml/2006/chartDrawing">
    <cdr:from>
      <cdr:x>0.23625</cdr:x>
      <cdr:y>0.8615</cdr:y>
    </cdr:from>
    <cdr:to>
      <cdr:x>0.70225</cdr:x>
      <cdr:y>0.9225</cdr:y>
    </cdr:to>
    <cdr:sp>
      <cdr:nvSpPr>
        <cdr:cNvPr id="2" name="TextBox 1"/>
        <cdr:cNvSpPr txBox="1">
          <a:spLocks noChangeArrowheads="1"/>
        </cdr:cNvSpPr>
      </cdr:nvSpPr>
      <cdr:spPr>
        <a:xfrm>
          <a:off x="1247775" y="5029200"/>
          <a:ext cx="2466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of H</a:t>
          </a:r>
          <a:r>
            <a:rPr lang="en-US" cap="none" sz="1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added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2</xdr:row>
      <xdr:rowOff>85725</xdr:rowOff>
    </xdr:from>
    <xdr:to>
      <xdr:col>17</xdr:col>
      <xdr:colOff>381000</xdr:colOff>
      <xdr:row>37</xdr:row>
      <xdr:rowOff>114300</xdr:rowOff>
    </xdr:to>
    <xdr:graphicFrame>
      <xdr:nvGraphicFramePr>
        <xdr:cNvPr id="1" name="Chart 5"/>
        <xdr:cNvGraphicFramePr/>
      </xdr:nvGraphicFramePr>
      <xdr:xfrm>
        <a:off x="7181850" y="409575"/>
        <a:ext cx="52863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24</xdr:row>
      <xdr:rowOff>123825</xdr:rowOff>
    </xdr:from>
    <xdr:to>
      <xdr:col>5</xdr:col>
      <xdr:colOff>504825</xdr:colOff>
      <xdr:row>30</xdr:row>
      <xdr:rowOff>95250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876300" y="4162425"/>
          <a:ext cx="2743200" cy="94297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You can change the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boldface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blue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above to modify the pH curve. Note that there are limits to the way this spreadsheet solves.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should be between 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size. The concentrations need to be of reasonable size also.</a:t>
          </a:r>
        </a:p>
      </xdr:txBody>
    </xdr:sp>
    <xdr:clientData/>
  </xdr:twoCellAnchor>
  <xdr:twoCellAnchor>
    <xdr:from>
      <xdr:col>7</xdr:col>
      <xdr:colOff>619125</xdr:colOff>
      <xdr:row>24</xdr:row>
      <xdr:rowOff>152400</xdr:rowOff>
    </xdr:from>
    <xdr:to>
      <xdr:col>10</xdr:col>
      <xdr:colOff>438150</xdr:colOff>
      <xdr:row>34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24450" y="4191000"/>
          <a:ext cx="1838325" cy="151447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also that the pH at the equivalence point  (100%) and the halfway point (50%) are highlighted in color. Note how the pH at the halfway point is equal to pKa for the conjugate acid.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37"/>
  <sheetViews>
    <sheetView tabSelected="1" workbookViewId="0" topLeftCell="A1">
      <selection activeCell="G38" sqref="G38"/>
    </sheetView>
  </sheetViews>
  <sheetFormatPr defaultColWidth="11.00390625" defaultRowHeight="12.75"/>
  <cols>
    <col min="1" max="1" width="7.875" style="0" customWidth="1"/>
    <col min="2" max="2" width="8.125" style="0" customWidth="1"/>
    <col min="3" max="3" width="7.25390625" style="0" customWidth="1"/>
    <col min="4" max="4" width="7.875" style="0" customWidth="1"/>
    <col min="5" max="5" width="9.75390625" style="0" customWidth="1"/>
    <col min="6" max="6" width="9.375" style="0" customWidth="1"/>
    <col min="7" max="8" width="8.875" style="0" customWidth="1"/>
    <col min="9" max="9" width="8.75390625" style="0" customWidth="1"/>
    <col min="10" max="10" width="8.875" style="0" customWidth="1"/>
    <col min="11" max="11" width="7.00390625" style="0" customWidth="1"/>
  </cols>
  <sheetData>
    <row r="3" spans="6:7" ht="12.75">
      <c r="F3" s="2" t="s">
        <v>24</v>
      </c>
      <c r="G3" s="2" t="s">
        <v>25</v>
      </c>
    </row>
    <row r="4" spans="6:7" ht="12.75">
      <c r="F4" s="21">
        <f>-LOG(Kb,10)</f>
        <v>5</v>
      </c>
      <c r="G4" s="21">
        <f>-LOG(Ka,10)</f>
        <v>8.999999999999998</v>
      </c>
    </row>
    <row r="5" spans="2:9" ht="12.75"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0</v>
      </c>
      <c r="I5" s="2" t="s">
        <v>1</v>
      </c>
    </row>
    <row r="6" spans="2:9" ht="15.75">
      <c r="B6" s="11">
        <v>0.1</v>
      </c>
      <c r="C6" s="11">
        <v>50</v>
      </c>
      <c r="D6" s="2">
        <f>concHA*volHA</f>
        <v>5</v>
      </c>
      <c r="E6" s="11">
        <v>0.1</v>
      </c>
      <c r="F6" s="12">
        <v>1E-05</v>
      </c>
      <c r="G6" s="2">
        <f>0.00000000000001/F6</f>
        <v>9.999999999999999E-10</v>
      </c>
      <c r="H6" s="3">
        <v>1E-14</v>
      </c>
      <c r="I6" s="2">
        <f>mmolHA/concOH</f>
        <v>50</v>
      </c>
    </row>
    <row r="7" spans="2:9" ht="15.75">
      <c r="B7" s="11"/>
      <c r="C7" s="11"/>
      <c r="D7" s="2"/>
      <c r="E7" s="11"/>
      <c r="H7" s="3"/>
      <c r="I7" s="2"/>
    </row>
    <row r="8" spans="2:9" ht="12.75">
      <c r="B8" s="2"/>
      <c r="C8" s="2"/>
      <c r="D8" s="2"/>
      <c r="E8" s="2"/>
      <c r="H8" s="3"/>
      <c r="I8" s="2"/>
    </row>
    <row r="9" spans="2:11" ht="12.75">
      <c r="B9" s="6"/>
      <c r="C9" s="6" t="s">
        <v>14</v>
      </c>
      <c r="D9" s="6" t="s">
        <v>18</v>
      </c>
      <c r="E9" s="6" t="s">
        <v>9</v>
      </c>
      <c r="F9" s="7" t="s">
        <v>2</v>
      </c>
      <c r="G9" s="7" t="s">
        <v>2</v>
      </c>
      <c r="H9" s="7" t="s">
        <v>8</v>
      </c>
      <c r="I9" s="7" t="s">
        <v>8</v>
      </c>
      <c r="J9" s="7" t="s">
        <v>23</v>
      </c>
      <c r="K9" s="8"/>
    </row>
    <row r="10" spans="2:14" s="10" customFormat="1" ht="12.75">
      <c r="B10" s="7" t="s">
        <v>10</v>
      </c>
      <c r="C10" s="7" t="s">
        <v>3</v>
      </c>
      <c r="D10" s="7" t="s">
        <v>7</v>
      </c>
      <c r="E10" s="7" t="s">
        <v>4</v>
      </c>
      <c r="F10" s="7" t="s">
        <v>19</v>
      </c>
      <c r="G10" s="7" t="s">
        <v>20</v>
      </c>
      <c r="H10" s="7" t="s">
        <v>21</v>
      </c>
      <c r="I10" s="7" t="s">
        <v>22</v>
      </c>
      <c r="J10" s="7" t="s">
        <v>5</v>
      </c>
      <c r="K10" s="9" t="s">
        <v>6</v>
      </c>
      <c r="L10"/>
      <c r="N10" s="7" t="s">
        <v>11</v>
      </c>
    </row>
    <row r="11" spans="2:14" s="10" customFormat="1" ht="12.75">
      <c r="B11" s="4">
        <v>0</v>
      </c>
      <c r="C11">
        <f>mmolHA-B11*mmolHA</f>
        <v>5</v>
      </c>
      <c r="D11">
        <f>mmolHA-C11</f>
        <v>0</v>
      </c>
      <c r="E11">
        <f aca="true" t="shared" si="0" ref="E11:E24">volHA+B11*endpoint</f>
        <v>50</v>
      </c>
      <c r="F11" s="1">
        <f aca="true" t="shared" si="1" ref="F11:F16">Kw/G11</f>
        <v>1.005012499921876E-11</v>
      </c>
      <c r="G11" s="1">
        <f aca="true" t="shared" si="2" ref="G11:G16">(SQRT(4*I11*Kb+(Kb+H11)^2)-(Kb+H11))/2</f>
        <v>0.000995012499921876</v>
      </c>
      <c r="H11" s="1">
        <f>D11/E11</f>
        <v>0</v>
      </c>
      <c r="I11" s="1">
        <f>C11/E11</f>
        <v>0.1</v>
      </c>
      <c r="J11">
        <f aca="true" t="shared" si="3" ref="J11:J24">B11*$I$6</f>
        <v>0</v>
      </c>
      <c r="K11" s="5">
        <f>14+LOG(G11)</f>
        <v>10.997828536638185</v>
      </c>
      <c r="L11"/>
      <c r="M11">
        <v>0</v>
      </c>
      <c r="N11">
        <v>7</v>
      </c>
    </row>
    <row r="12" spans="2:14" ht="12.75">
      <c r="B12" s="4">
        <v>0.1</v>
      </c>
      <c r="C12">
        <f aca="true" t="shared" si="4" ref="C12:C24">mmolHA-B12*mmolHA</f>
        <v>4.5</v>
      </c>
      <c r="D12">
        <f aca="true" t="shared" si="5" ref="D12:D19">mmolHA-C12</f>
        <v>0.5</v>
      </c>
      <c r="E12">
        <f t="shared" si="0"/>
        <v>55</v>
      </c>
      <c r="F12" s="1">
        <f t="shared" si="1"/>
        <v>1.1232147980746885E-10</v>
      </c>
      <c r="G12" s="1">
        <f t="shared" si="2"/>
        <v>8.903016606566332E-05</v>
      </c>
      <c r="H12" s="1">
        <f aca="true" t="shared" si="6" ref="H12:H19">D12/E12</f>
        <v>0.00909090909090909</v>
      </c>
      <c r="I12" s="1">
        <f aca="true" t="shared" si="7" ref="I12:I19">C12/E12</f>
        <v>0.08181818181818182</v>
      </c>
      <c r="J12">
        <f t="shared" si="3"/>
        <v>5</v>
      </c>
      <c r="K12" s="5">
        <f aca="true" t="shared" si="8" ref="K12:K24">14+LOG(G12)</f>
        <v>9.94953718345515</v>
      </c>
      <c r="M12">
        <f>endpoint*2</f>
        <v>100</v>
      </c>
      <c r="N12">
        <v>7</v>
      </c>
    </row>
    <row r="13" spans="2:11" ht="12.75">
      <c r="B13" s="4">
        <v>0.25</v>
      </c>
      <c r="C13">
        <f t="shared" si="4"/>
        <v>3.75</v>
      </c>
      <c r="D13">
        <f t="shared" si="5"/>
        <v>1.25</v>
      </c>
      <c r="E13">
        <f t="shared" si="0"/>
        <v>62.5</v>
      </c>
      <c r="F13" s="1">
        <f t="shared" si="1"/>
        <v>3.339990034848237E-10</v>
      </c>
      <c r="G13" s="1">
        <f t="shared" si="2"/>
        <v>2.994020908943934E-05</v>
      </c>
      <c r="H13" s="1">
        <f t="shared" si="6"/>
        <v>0.02</v>
      </c>
      <c r="I13" s="1">
        <f t="shared" si="7"/>
        <v>0.06</v>
      </c>
      <c r="J13">
        <f t="shared" si="3"/>
        <v>12.5</v>
      </c>
      <c r="K13" s="5">
        <f t="shared" si="8"/>
        <v>9.476254828941991</v>
      </c>
    </row>
    <row r="14" spans="2:12" ht="15.75">
      <c r="B14" s="13">
        <v>0.5</v>
      </c>
      <c r="C14" s="14">
        <f t="shared" si="4"/>
        <v>2.5</v>
      </c>
      <c r="D14" s="14">
        <f t="shared" si="5"/>
        <v>2.5</v>
      </c>
      <c r="E14" s="14">
        <f t="shared" si="0"/>
        <v>75</v>
      </c>
      <c r="F14" s="15">
        <f t="shared" si="1"/>
        <v>1.0005998201615608E-09</v>
      </c>
      <c r="G14" s="1">
        <f t="shared" si="2"/>
        <v>9.994005394069888E-06</v>
      </c>
      <c r="H14" s="15">
        <f t="shared" si="6"/>
        <v>0.03333333333333333</v>
      </c>
      <c r="I14" s="15">
        <f t="shared" si="7"/>
        <v>0.03333333333333333</v>
      </c>
      <c r="J14" s="14">
        <f t="shared" si="3"/>
        <v>25</v>
      </c>
      <c r="K14" s="16">
        <f t="shared" si="8"/>
        <v>8.999739579508624</v>
      </c>
      <c r="L14" s="10"/>
    </row>
    <row r="15" spans="2:12" ht="12.75">
      <c r="B15" s="4">
        <v>0.75</v>
      </c>
      <c r="C15">
        <f t="shared" si="4"/>
        <v>1.25</v>
      </c>
      <c r="D15">
        <f t="shared" si="5"/>
        <v>3.75</v>
      </c>
      <c r="E15">
        <f t="shared" si="0"/>
        <v>87.5</v>
      </c>
      <c r="F15" s="1">
        <f t="shared" si="1"/>
        <v>3.000933260769217E-09</v>
      </c>
      <c r="G15" s="1">
        <f t="shared" si="2"/>
        <v>3.3322966994063508E-06</v>
      </c>
      <c r="H15" s="1">
        <f t="shared" si="6"/>
        <v>0.04285714285714286</v>
      </c>
      <c r="I15" s="1">
        <f t="shared" si="7"/>
        <v>0.014285714285714285</v>
      </c>
      <c r="J15">
        <f t="shared" si="3"/>
        <v>37.5</v>
      </c>
      <c r="K15" s="5">
        <f t="shared" si="8"/>
        <v>8.522743662956337</v>
      </c>
      <c r="L15" s="10"/>
    </row>
    <row r="16" spans="2:11" ht="12.75">
      <c r="B16" s="4">
        <v>0.9</v>
      </c>
      <c r="C16">
        <f t="shared" si="4"/>
        <v>0.5</v>
      </c>
      <c r="D16">
        <f t="shared" si="5"/>
        <v>4.5</v>
      </c>
      <c r="E16">
        <f t="shared" si="0"/>
        <v>95</v>
      </c>
      <c r="F16" s="1">
        <f t="shared" si="1"/>
        <v>9.002111061609577E-09</v>
      </c>
      <c r="G16" s="1">
        <f t="shared" si="2"/>
        <v>1.1108505473395036E-06</v>
      </c>
      <c r="H16" s="1">
        <f t="shared" si="6"/>
        <v>0.04736842105263158</v>
      </c>
      <c r="I16" s="1">
        <f t="shared" si="7"/>
        <v>0.005263157894736842</v>
      </c>
      <c r="J16">
        <f t="shared" si="3"/>
        <v>45</v>
      </c>
      <c r="K16" s="5">
        <f t="shared" si="8"/>
        <v>8.0456556333497</v>
      </c>
    </row>
    <row r="17" spans="2:11" ht="12.75">
      <c r="B17" s="4">
        <v>0.99</v>
      </c>
      <c r="C17">
        <f t="shared" si="4"/>
        <v>0.04999999999999982</v>
      </c>
      <c r="D17">
        <f t="shared" si="5"/>
        <v>4.95</v>
      </c>
      <c r="E17">
        <f t="shared" si="0"/>
        <v>99.5</v>
      </c>
      <c r="F17" s="1">
        <f>(SQRT(4*H17*Ka+(Ka+I17)^2)-(Ka+I17))/2</f>
        <v>9.898030679794797E-08</v>
      </c>
      <c r="G17" s="1">
        <f aca="true" t="shared" si="9" ref="G17:G24">Kw/F17</f>
        <v>1.0103019806165439E-07</v>
      </c>
      <c r="H17" s="1">
        <f t="shared" si="6"/>
        <v>0.04974874371859297</v>
      </c>
      <c r="I17" s="1">
        <f t="shared" si="7"/>
        <v>0.0005025125628140686</v>
      </c>
      <c r="J17">
        <f t="shared" si="3"/>
        <v>49.5</v>
      </c>
      <c r="K17" s="5">
        <f t="shared" si="8"/>
        <v>7.004451204389791</v>
      </c>
    </row>
    <row r="18" spans="2:11" ht="12.75">
      <c r="B18" s="4">
        <v>0.9975</v>
      </c>
      <c r="C18">
        <f t="shared" si="4"/>
        <v>0.01249999999999929</v>
      </c>
      <c r="D18">
        <f t="shared" si="5"/>
        <v>4.987500000000001</v>
      </c>
      <c r="E18">
        <f t="shared" si="0"/>
        <v>99.875</v>
      </c>
      <c r="F18" s="1">
        <f>(SQRT(4*H18*Ka+(Ka+I18)^2)-(Ka+I18))/2</f>
        <v>3.977328725256494E-07</v>
      </c>
      <c r="G18" s="1">
        <f t="shared" si="9"/>
        <v>2.5142503149158508E-08</v>
      </c>
      <c r="H18" s="1">
        <f t="shared" si="6"/>
        <v>0.04993742177722153</v>
      </c>
      <c r="I18" s="1">
        <f t="shared" si="7"/>
        <v>0.00012515644555693907</v>
      </c>
      <c r="J18">
        <f t="shared" si="3"/>
        <v>49.875</v>
      </c>
      <c r="K18" s="5">
        <f t="shared" si="8"/>
        <v>6.400408513196793</v>
      </c>
    </row>
    <row r="19" spans="2:11" ht="15.75">
      <c r="B19" s="17">
        <v>1</v>
      </c>
      <c r="C19" s="18">
        <f t="shared" si="4"/>
        <v>0</v>
      </c>
      <c r="D19" s="18">
        <f t="shared" si="5"/>
        <v>5</v>
      </c>
      <c r="E19" s="18">
        <f t="shared" si="0"/>
        <v>100</v>
      </c>
      <c r="F19" s="19">
        <f>(SQRT(4*H19*Ka+(Ka+I19)^2)-(Ka+I19))/2</f>
        <v>7.070567829543144E-06</v>
      </c>
      <c r="G19" s="19">
        <f t="shared" si="9"/>
        <v>1.414313565908629E-09</v>
      </c>
      <c r="H19" s="19">
        <f t="shared" si="6"/>
        <v>0.05</v>
      </c>
      <c r="I19" s="19">
        <f t="shared" si="7"/>
        <v>0</v>
      </c>
      <c r="J19" s="18">
        <f t="shared" si="3"/>
        <v>50</v>
      </c>
      <c r="K19" s="20">
        <f t="shared" si="8"/>
        <v>5.150545707089284</v>
      </c>
    </row>
    <row r="20" spans="2:11" ht="12.75">
      <c r="B20" s="4">
        <v>1.0025</v>
      </c>
      <c r="C20">
        <f t="shared" si="4"/>
        <v>-0.01249999999999929</v>
      </c>
      <c r="D20">
        <f>mmolHA</f>
        <v>5</v>
      </c>
      <c r="E20">
        <f t="shared" si="0"/>
        <v>100.125</v>
      </c>
      <c r="F20" s="1">
        <f>-C20/E20+(SQRT((-C20/E20+Ka)^2+4*Ka*H20)-(-C20/E20+Ka))/2</f>
        <v>0.00012524266844244912</v>
      </c>
      <c r="G20" s="1">
        <f t="shared" si="9"/>
        <v>7.98449931190595E-11</v>
      </c>
      <c r="H20" s="1">
        <f>mmolHA/E20</f>
        <v>0.049937578027465665</v>
      </c>
      <c r="I20" s="1">
        <v>0</v>
      </c>
      <c r="J20">
        <f t="shared" si="3"/>
        <v>50.125</v>
      </c>
      <c r="K20" s="5">
        <f t="shared" si="8"/>
        <v>3.9022476878014896</v>
      </c>
    </row>
    <row r="21" spans="2:11" ht="12.75">
      <c r="B21" s="4">
        <v>1.01</v>
      </c>
      <c r="C21">
        <f t="shared" si="4"/>
        <v>-0.04999999999999982</v>
      </c>
      <c r="D21">
        <f>mmolHA</f>
        <v>5</v>
      </c>
      <c r="E21">
        <f t="shared" si="0"/>
        <v>100.5</v>
      </c>
      <c r="F21" s="1">
        <f>-C21/E21+(SQRT((-C21/E21+Ka)^2+4*Ka*H21)-(-C21/E21+Ka))/2</f>
        <v>0.0004976124175181412</v>
      </c>
      <c r="G21" s="1">
        <f t="shared" si="9"/>
        <v>2.009596153141704E-11</v>
      </c>
      <c r="H21" s="1">
        <f>mmolHA/E21</f>
        <v>0.04975124378109453</v>
      </c>
      <c r="I21" s="1">
        <v>0</v>
      </c>
      <c r="J21">
        <f t="shared" si="3"/>
        <v>50.5</v>
      </c>
      <c r="K21" s="5">
        <f t="shared" si="8"/>
        <v>3.303108790712093</v>
      </c>
    </row>
    <row r="22" spans="2:11" ht="12.75">
      <c r="B22" s="4">
        <v>1.1</v>
      </c>
      <c r="C22">
        <f t="shared" si="4"/>
        <v>-0.5</v>
      </c>
      <c r="D22">
        <f>mmolHA</f>
        <v>5</v>
      </c>
      <c r="E22">
        <f t="shared" si="0"/>
        <v>105</v>
      </c>
      <c r="F22" s="1">
        <f>-C22/E22+(SQRT((-C22/E22+Ka)^2+4*Ka*H22)-(-C22/E22+Ka))/2</f>
        <v>0.004761914761881663</v>
      </c>
      <c r="G22" s="1">
        <f t="shared" si="9"/>
        <v>2.0999955900194478E-12</v>
      </c>
      <c r="H22" s="1">
        <f>mmolHA/E22</f>
        <v>0.047619047619047616</v>
      </c>
      <c r="I22" s="1">
        <v>0</v>
      </c>
      <c r="J22">
        <f t="shared" si="3"/>
        <v>55.00000000000001</v>
      </c>
      <c r="K22" s="5">
        <f t="shared" si="8"/>
        <v>2.322218382718571</v>
      </c>
    </row>
    <row r="23" spans="2:11" ht="12.75">
      <c r="B23" s="4">
        <v>1.5</v>
      </c>
      <c r="C23">
        <f t="shared" si="4"/>
        <v>-2.5</v>
      </c>
      <c r="D23">
        <f>mmolHA</f>
        <v>5</v>
      </c>
      <c r="E23">
        <f t="shared" si="0"/>
        <v>125</v>
      </c>
      <c r="F23" s="1">
        <f>-C23/E23+(SQRT((-C23/E23+Ka)^2+4*Ka*H23)-(-C23/E23+Ka))/2</f>
        <v>0.0200000019999997</v>
      </c>
      <c r="G23" s="1">
        <f t="shared" si="9"/>
        <v>4.999999500000125E-13</v>
      </c>
      <c r="H23" s="1">
        <f>mmolHA/E23</f>
        <v>0.04</v>
      </c>
      <c r="I23" s="1">
        <v>0</v>
      </c>
      <c r="J23">
        <f t="shared" si="3"/>
        <v>75</v>
      </c>
      <c r="K23" s="5">
        <f t="shared" si="8"/>
        <v>1.6989699609065791</v>
      </c>
    </row>
    <row r="24" spans="2:11" ht="12.75">
      <c r="B24" s="4">
        <v>2</v>
      </c>
      <c r="C24">
        <f t="shared" si="4"/>
        <v>-5</v>
      </c>
      <c r="D24">
        <f>mmolHA</f>
        <v>5</v>
      </c>
      <c r="E24">
        <f t="shared" si="0"/>
        <v>150</v>
      </c>
      <c r="F24" s="1">
        <f>-C24/E24+(SQRT((-C24/E24+Ka)^2+4*Ka*H24)-(-C24/E24+Ka))/2</f>
        <v>0.03333333433333327</v>
      </c>
      <c r="G24" s="1">
        <f t="shared" si="9"/>
        <v>2.999999910000008E-13</v>
      </c>
      <c r="H24" s="1">
        <f>mmolHA/E24</f>
        <v>0.03333333333333333</v>
      </c>
      <c r="I24" s="1">
        <v>0</v>
      </c>
      <c r="J24">
        <f t="shared" si="3"/>
        <v>100</v>
      </c>
      <c r="K24" s="5">
        <f t="shared" si="8"/>
        <v>1.4771212416908295</v>
      </c>
    </row>
    <row r="37" ht="12.75">
      <c r="F37" s="10"/>
    </row>
  </sheetData>
  <printOptions gridLines="1"/>
  <pageMargins left="0.75" right="0.75" top="1.46" bottom="1" header="0.5" footer="0.5"/>
  <pageSetup fitToHeight="1" fitToWidth="1" orientation="landscape" scale="84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McCord</cp:lastModifiedBy>
  <dcterms:created xsi:type="dcterms:W3CDTF">2008-03-20T22:45:01Z</dcterms:created>
  <dcterms:modified xsi:type="dcterms:W3CDTF">2008-03-24T13:48:51Z</dcterms:modified>
  <cp:category/>
  <cp:version/>
  <cp:contentType/>
  <cp:contentStatus/>
</cp:coreProperties>
</file>